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arkus Schmidt-Ott\Downloads\"/>
    </mc:Choice>
  </mc:AlternateContent>
  <xr:revisionPtr revIDLastSave="0" documentId="13_ncr:1_{319273BE-A1B2-401E-922C-FD8379FF214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ntenlück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M21" i="1"/>
  <c r="J21" i="1"/>
  <c r="F14" i="1"/>
  <c r="F15" i="1"/>
  <c r="F16" i="1"/>
  <c r="F17" i="1"/>
  <c r="F18" i="1"/>
  <c r="F19" i="1"/>
  <c r="F20" i="1"/>
  <c r="F13" i="1"/>
  <c r="G13" i="1"/>
  <c r="M24" i="1"/>
  <c r="G24" i="1"/>
  <c r="H24" i="1" s="1"/>
  <c r="L23" i="1"/>
  <c r="L13" i="1"/>
  <c r="J24" i="1" l="1"/>
  <c r="G20" i="1"/>
  <c r="I20" i="1" s="1"/>
  <c r="J20" i="1" s="1"/>
  <c r="G19" i="1"/>
  <c r="I19" i="1" s="1"/>
  <c r="J19" i="1" s="1"/>
  <c r="G18" i="1"/>
  <c r="I18" i="1" s="1"/>
  <c r="J18" i="1" s="1"/>
  <c r="G17" i="1"/>
  <c r="I17" i="1" s="1"/>
  <c r="J17" i="1" s="1"/>
  <c r="G16" i="1"/>
  <c r="I16" i="1" s="1"/>
  <c r="J16" i="1" s="1"/>
  <c r="G15" i="1"/>
  <c r="I15" i="1" s="1"/>
  <c r="J15" i="1" s="1"/>
  <c r="G14" i="1"/>
  <c r="I14" i="1" s="1"/>
  <c r="J14" i="1" s="1"/>
  <c r="O14" i="1" s="1"/>
  <c r="B14" i="1"/>
  <c r="L14" i="1" s="1"/>
  <c r="M13" i="1"/>
  <c r="I13" i="1"/>
  <c r="J13" i="1" s="1"/>
  <c r="O13" i="1" s="1"/>
  <c r="K24" i="1" l="1"/>
  <c r="P24" i="1" s="1"/>
  <c r="N24" i="1"/>
  <c r="M14" i="1"/>
  <c r="P14" i="1"/>
  <c r="P13" i="1"/>
  <c r="B15" i="1"/>
  <c r="L15" i="1" s="1"/>
  <c r="O15" i="1" l="1"/>
  <c r="Q24" i="1"/>
  <c r="M15" i="1"/>
  <c r="B16" i="1"/>
  <c r="P15" i="1"/>
  <c r="L16" i="1" l="1"/>
  <c r="M16" i="1" s="1"/>
  <c r="O16" i="1"/>
  <c r="B17" i="1"/>
  <c r="P16" i="1"/>
  <c r="L17" i="1" l="1"/>
  <c r="M17" i="1" s="1"/>
  <c r="O17" i="1"/>
  <c r="B18" i="1"/>
  <c r="P17" i="1"/>
  <c r="L18" i="1" l="1"/>
  <c r="M18" i="1" s="1"/>
  <c r="O18" i="1"/>
  <c r="B19" i="1"/>
  <c r="P18" i="1"/>
  <c r="L19" i="1" l="1"/>
  <c r="M19" i="1" s="1"/>
  <c r="O19" i="1"/>
  <c r="B20" i="1"/>
  <c r="P19" i="1"/>
  <c r="L20" i="1" l="1"/>
  <c r="M20" i="1" s="1"/>
  <c r="O20" i="1"/>
  <c r="P20" i="1"/>
</calcChain>
</file>

<file path=xl/sharedStrings.xml><?xml version="1.0" encoding="utf-8"?>
<sst xmlns="http://schemas.openxmlformats.org/spreadsheetml/2006/main" count="41" uniqueCount="33">
  <si>
    <t>grün = deine Eingaben</t>
  </si>
  <si>
    <t>Rendite</t>
  </si>
  <si>
    <t>(in %)</t>
  </si>
  <si>
    <t>Entnahmerate</t>
  </si>
  <si>
    <t>Alter</t>
  </si>
  <si>
    <t>Durchschnittliches Bruttogehalt</t>
  </si>
  <si>
    <t>Nettogehalt pro Monat</t>
  </si>
  <si>
    <r>
      <rPr>
        <b/>
        <sz val="10"/>
        <color theme="1"/>
        <rFont val="Montserrat"/>
      </rPr>
      <t xml:space="preserve">Ergibt diese Rente ▶
</t>
    </r>
    <r>
      <rPr>
        <sz val="9"/>
        <color theme="1"/>
        <rFont val="Montserrat"/>
      </rPr>
      <t>(bei durchschnittlichem Einkommen ab 25 Jahren)</t>
    </r>
  </si>
  <si>
    <t>Bruttorente pro Monat</t>
  </si>
  <si>
    <t>Nettorente pro Monat</t>
  </si>
  <si>
    <r>
      <rPr>
        <sz val="10"/>
        <color rgb="FF000000"/>
        <rFont val="Montserrat"/>
      </rPr>
      <t xml:space="preserve">Differenz zwischen Nettorente und Nettogehalt:
</t>
    </r>
    <r>
      <rPr>
        <b/>
        <sz val="10"/>
        <color rgb="FF000000"/>
        <rFont val="Montserrat"/>
      </rPr>
      <t>Ergibt die Rentenlücke ▶</t>
    </r>
  </si>
  <si>
    <t>Rentenlücke</t>
  </si>
  <si>
    <t>Benötigtes Vermögen, um die Rentenlücke zu schließen</t>
  </si>
  <si>
    <t>Angespartes Vermögen</t>
  </si>
  <si>
    <t>Betrag, der monatlich entnommen werden kann</t>
  </si>
  <si>
    <r>
      <rPr>
        <sz val="10"/>
        <color theme="1"/>
        <rFont val="Montserrat"/>
      </rPr>
      <t xml:space="preserve">Um monatlich die Rentenlücke zu decken, benötigst du dieses </t>
    </r>
    <r>
      <rPr>
        <b/>
        <sz val="10"/>
        <color theme="1"/>
        <rFont val="Montserrat"/>
      </rPr>
      <t xml:space="preserve">Startkapital </t>
    </r>
    <r>
      <rPr>
        <sz val="10"/>
        <color theme="1"/>
        <rFont val="Montserrat"/>
      </rPr>
      <t xml:space="preserve">oder diese </t>
    </r>
    <r>
      <rPr>
        <b/>
        <sz val="10"/>
        <color theme="1"/>
        <rFont val="Montserrat"/>
      </rPr>
      <t xml:space="preserve">Sparrate </t>
    </r>
    <r>
      <rPr>
        <sz val="10"/>
        <color theme="1"/>
        <rFont val="Montserrat"/>
      </rPr>
      <t>▶</t>
    </r>
  </si>
  <si>
    <t>Benötigtes Startkapital</t>
  </si>
  <si>
    <t>Benötigte Sparrate</t>
  </si>
  <si>
    <t>Bruttogehalt (pro Jahr)</t>
  </si>
  <si>
    <t>Nettogehalt (pro Jahr)</t>
  </si>
  <si>
    <t>Ergibt diese Rente ▶</t>
  </si>
  <si>
    <t>Nettorente pro Monat*</t>
  </si>
  <si>
    <t>Ergibt die Rentenlücke ▶</t>
  </si>
  <si>
    <t>Betrag, der jeden Monat entnommen werden kann</t>
  </si>
  <si>
    <r>
      <rPr>
        <b/>
        <sz val="10"/>
        <color theme="1"/>
        <rFont val="Montserrat"/>
      </rPr>
      <t xml:space="preserve">Startkapital </t>
    </r>
    <r>
      <rPr>
        <sz val="10"/>
        <color theme="1"/>
        <rFont val="Montserrat"/>
      </rPr>
      <t xml:space="preserve">und </t>
    </r>
    <r>
      <rPr>
        <b/>
        <sz val="10"/>
        <color theme="1"/>
        <rFont val="Montserrat"/>
      </rPr>
      <t xml:space="preserve">Sparrate </t>
    </r>
    <r>
      <rPr>
        <sz val="10"/>
        <color theme="1"/>
        <rFont val="Montserrat"/>
      </rPr>
      <t>▶</t>
    </r>
  </si>
  <si>
    <r>
      <rPr>
        <sz val="10"/>
        <rFont val="Montserrat"/>
      </rPr>
      <t xml:space="preserve">* Bei der Nettorente wird überschlagen, dass sie etwa 85% der Bruttorente beträgt. Wenn du genau rechnen möchtest, solltest du die Bruttorente in unseren </t>
    </r>
    <r>
      <rPr>
        <u/>
        <sz val="10"/>
        <color rgb="FF1155CC"/>
        <rFont val="Montserrat"/>
      </rPr>
      <t>Brutto-Netto-Rechner</t>
    </r>
    <r>
      <rPr>
        <sz val="10"/>
        <rFont val="Montserrat"/>
      </rPr>
      <t xml:space="preserve"> eingeben.
Hier musst du dann den monatlichen Nettobetrag plus den Beiträgen zur Rentenversicherung und Arbeitslosenversicherung eintragen (siehe Bild).</t>
    </r>
  </si>
  <si>
    <t>Ein paar Eckdaten</t>
  </si>
  <si>
    <t>Durchschnittliche Einkommen</t>
  </si>
  <si>
    <t>Deine Eingaben</t>
  </si>
  <si>
    <t>Wie viel Vermögen brauche ich, um meine Rentenlücke zu schließen?</t>
  </si>
  <si>
    <t>Alter Arbeitsbeginn</t>
  </si>
  <si>
    <t>(seit welchem Alter arbeitest du?)</t>
  </si>
  <si>
    <t>Sparquote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</si>
</sst>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[$€-1]"/>
  </numFmts>
  <fonts count="14" x14ac:knownFonts="1">
    <font>
      <sz val="10"/>
      <color rgb="FF000000"/>
      <name val="Arial"/>
      <scheme val="minor"/>
    </font>
    <font>
      <b/>
      <sz val="10"/>
      <color theme="1"/>
      <name val="Montserrat"/>
    </font>
    <font>
      <b/>
      <sz val="14"/>
      <color theme="1"/>
      <name val="Montserrat"/>
    </font>
    <font>
      <sz val="10"/>
      <color theme="1"/>
      <name val="Montserrat"/>
    </font>
    <font>
      <b/>
      <sz val="10"/>
      <color rgb="FFFFFFFF"/>
      <name val="Montserrat"/>
    </font>
    <font>
      <sz val="10"/>
      <color rgb="FF000000"/>
      <name val="Montserrat"/>
    </font>
    <font>
      <sz val="10"/>
      <name val="Arial"/>
    </font>
    <font>
      <sz val="8"/>
      <color theme="1"/>
      <name val="Montserrat"/>
    </font>
    <font>
      <b/>
      <sz val="10"/>
      <color rgb="FF000000"/>
      <name val="Montserrat"/>
    </font>
    <font>
      <u/>
      <sz val="10"/>
      <color rgb="FF0000FF"/>
      <name val="Montserrat"/>
    </font>
    <font>
      <sz val="9"/>
      <color theme="1"/>
      <name val="Montserrat"/>
    </font>
    <font>
      <sz val="10"/>
      <name val="Montserrat"/>
    </font>
    <font>
      <u/>
      <sz val="10"/>
      <color rgb="FF1155CC"/>
      <name val="Montserrat"/>
    </font>
    <font>
      <b/>
      <sz val="8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7E8CA"/>
        <bgColor rgb="FF97E8CA"/>
      </patternFill>
    </fill>
    <fill>
      <patternFill patternType="solid">
        <fgColor rgb="FFC2D3FF"/>
        <bgColor rgb="FFC2D3FF"/>
      </patternFill>
    </fill>
    <fill>
      <patternFill patternType="solid">
        <fgColor rgb="FF4D6BDD"/>
        <bgColor rgb="FF4D6BDD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indexed="64"/>
      </right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 applyAlignment="1">
      <alignment horizontal="left" wrapText="1"/>
    </xf>
    <xf numFmtId="9" fontId="1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4" borderId="2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wrapText="1"/>
    </xf>
    <xf numFmtId="165" fontId="3" fillId="3" borderId="6" xfId="0" applyNumberFormat="1" applyFont="1" applyFill="1" applyBorder="1" applyAlignment="1">
      <alignment horizontal="left"/>
    </xf>
    <xf numFmtId="165" fontId="3" fillId="3" borderId="5" xfId="0" applyNumberFormat="1" applyFont="1" applyFill="1" applyBorder="1" applyAlignment="1">
      <alignment horizontal="left"/>
    </xf>
    <xf numFmtId="165" fontId="3" fillId="3" borderId="7" xfId="0" applyNumberFormat="1" applyFont="1" applyFill="1" applyBorder="1" applyAlignment="1">
      <alignment horizontal="left"/>
    </xf>
    <xf numFmtId="1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165" fontId="3" fillId="3" borderId="9" xfId="0" applyNumberFormat="1" applyFont="1" applyFill="1" applyBorder="1" applyAlignment="1">
      <alignment horizontal="left"/>
    </xf>
    <xf numFmtId="165" fontId="3" fillId="3" borderId="8" xfId="0" applyNumberFormat="1" applyFont="1" applyFill="1" applyBorder="1" applyAlignment="1">
      <alignment horizontal="left"/>
    </xf>
    <xf numFmtId="165" fontId="3" fillId="3" borderId="10" xfId="0" applyNumberFormat="1" applyFont="1" applyFill="1" applyBorder="1" applyAlignment="1">
      <alignment horizontal="left"/>
    </xf>
    <xf numFmtId="10" fontId="3" fillId="3" borderId="10" xfId="0" applyNumberFormat="1" applyFont="1" applyFill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13" fillId="2" borderId="1" xfId="0" applyFont="1" applyFill="1" applyBorder="1" applyAlignment="1">
      <alignment horizontal="left" wrapText="1"/>
    </xf>
    <xf numFmtId="0" fontId="1" fillId="3" borderId="14" xfId="0" applyFont="1" applyFill="1" applyBorder="1" applyAlignment="1">
      <alignment horizontal="left" wrapText="1"/>
    </xf>
    <xf numFmtId="164" fontId="1" fillId="2" borderId="15" xfId="0" applyNumberFormat="1" applyFont="1" applyFill="1" applyBorder="1" applyAlignment="1">
      <alignment horizontal="left" wrapText="1"/>
    </xf>
    <xf numFmtId="0" fontId="1" fillId="3" borderId="16" xfId="0" applyFont="1" applyFill="1" applyBorder="1" applyAlignment="1">
      <alignment horizontal="left" wrapText="1"/>
    </xf>
    <xf numFmtId="164" fontId="1" fillId="2" borderId="17" xfId="0" applyNumberFormat="1" applyFont="1" applyFill="1" applyBorder="1" applyAlignment="1">
      <alignment horizontal="left" wrapText="1"/>
    </xf>
    <xf numFmtId="0" fontId="1" fillId="3" borderId="18" xfId="0" applyFont="1" applyFill="1" applyBorder="1" applyAlignment="1">
      <alignment horizontal="left" wrapText="1"/>
    </xf>
    <xf numFmtId="0" fontId="4" fillId="4" borderId="14" xfId="0" applyFont="1" applyFill="1" applyBorder="1" applyAlignment="1">
      <alignment horizontal="left" wrapText="1"/>
    </xf>
    <xf numFmtId="0" fontId="4" fillId="4" borderId="15" xfId="0" applyFont="1" applyFill="1" applyBorder="1" applyAlignment="1">
      <alignment horizontal="left" wrapText="1"/>
    </xf>
    <xf numFmtId="165" fontId="3" fillId="3" borderId="20" xfId="0" applyNumberFormat="1" applyFont="1" applyFill="1" applyBorder="1" applyAlignment="1">
      <alignment horizontal="left"/>
    </xf>
    <xf numFmtId="165" fontId="3" fillId="3" borderId="21" xfId="0" applyNumberFormat="1" applyFont="1" applyFill="1" applyBorder="1" applyAlignment="1">
      <alignment horizontal="left"/>
    </xf>
    <xf numFmtId="165" fontId="3" fillId="3" borderId="22" xfId="0" applyNumberFormat="1" applyFont="1" applyFill="1" applyBorder="1" applyAlignment="1">
      <alignment horizontal="left"/>
    </xf>
    <xf numFmtId="165" fontId="3" fillId="3" borderId="23" xfId="0" applyNumberFormat="1" applyFont="1" applyFill="1" applyBorder="1" applyAlignment="1">
      <alignment horizontal="left"/>
    </xf>
    <xf numFmtId="9" fontId="1" fillId="2" borderId="19" xfId="0" applyNumberFormat="1" applyFont="1" applyFill="1" applyBorder="1" applyAlignment="1">
      <alignment horizontal="left" wrapText="1"/>
    </xf>
    <xf numFmtId="0" fontId="2" fillId="0" borderId="0" xfId="0" applyFont="1" applyAlignment="1"/>
    <xf numFmtId="10" fontId="3" fillId="3" borderId="23" xfId="0" applyNumberFormat="1" applyFont="1" applyFill="1" applyBorder="1" applyAlignment="1">
      <alignment horizontal="left"/>
    </xf>
    <xf numFmtId="10" fontId="3" fillId="3" borderId="21" xfId="0" applyNumberFormat="1" applyFont="1" applyFill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4" borderId="24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left"/>
    </xf>
    <xf numFmtId="0" fontId="3" fillId="2" borderId="25" xfId="0" applyNumberFormat="1" applyFont="1" applyFill="1" applyBorder="1" applyAlignment="1">
      <alignment horizontal="left" wrapText="1"/>
    </xf>
    <xf numFmtId="165" fontId="3" fillId="2" borderId="25" xfId="0" applyNumberFormat="1" applyFont="1" applyFill="1" applyBorder="1" applyAlignment="1">
      <alignment horizontal="left"/>
    </xf>
    <xf numFmtId="165" fontId="3" fillId="2" borderId="19" xfId="0" applyNumberFormat="1" applyFont="1" applyFill="1" applyBorder="1" applyAlignment="1">
      <alignment horizontal="left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5" xfId="0" applyFont="1" applyBorder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26</xdr:row>
      <xdr:rowOff>0</xdr:rowOff>
    </xdr:from>
    <xdr:ext cx="3648075" cy="1133475"/>
    <xdr:pic>
      <xdr:nvPicPr>
        <xdr:cNvPr id="2" name="image1.png" title="Bil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53100" y="7858125"/>
          <a:ext cx="3648075" cy="1133475"/>
        </a:xfrm>
        <a:prstGeom prst="rect">
          <a:avLst/>
        </a:prstGeom>
        <a:noFill/>
      </xdr:spPr>
    </xdr:pic>
    <xdr:clientData fLocksWithSheet="0"/>
  </xdr:oneCellAnchor>
  <xdr:oneCellAnchor>
    <xdr:from>
      <xdr:col>13</xdr:col>
      <xdr:colOff>1038225</xdr:colOff>
      <xdr:row>2</xdr:row>
      <xdr:rowOff>0</xdr:rowOff>
    </xdr:from>
    <xdr:ext cx="2790824" cy="768769"/>
    <xdr:pic>
      <xdr:nvPicPr>
        <xdr:cNvPr id="3" name="image2.png" title="Bil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68925" y="476250"/>
          <a:ext cx="2790824" cy="76876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inanzfluss.de/rechner/brutto-netto-rechn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34"/>
  <sheetViews>
    <sheetView showGridLines="0" tabSelected="1" zoomScaleNormal="100" workbookViewId="0"/>
  </sheetViews>
  <sheetFormatPr baseColWidth="10" defaultColWidth="0" defaultRowHeight="15.75" customHeight="1" zeroHeight="1" x14ac:dyDescent="0.2"/>
  <cols>
    <col min="1" max="1" width="6.5703125" style="20" customWidth="1"/>
    <col min="2" max="2" width="15.5703125" style="39" bestFit="1" customWidth="1"/>
    <col min="3" max="3" width="20.85546875" style="20" bestFit="1" customWidth="1"/>
    <col min="4" max="4" width="19" style="20" bestFit="1" customWidth="1"/>
    <col min="5" max="5" width="23.42578125" style="20" customWidth="1"/>
    <col min="6" max="7" width="13.140625" style="20" bestFit="1" customWidth="1"/>
    <col min="8" max="8" width="20.42578125" style="20" customWidth="1"/>
    <col min="9" max="9" width="15.5703125" style="20" bestFit="1" customWidth="1"/>
    <col min="10" max="10" width="24.42578125" style="20" bestFit="1" customWidth="1"/>
    <col min="11" max="12" width="27.85546875" style="20" bestFit="1" customWidth="1"/>
    <col min="13" max="13" width="27.5703125" style="20" customWidth="1"/>
    <col min="14" max="14" width="24.7109375" style="20" customWidth="1"/>
    <col min="15" max="15" width="17.5703125" style="20" bestFit="1" customWidth="1"/>
    <col min="16" max="16" width="13" style="20" bestFit="1" customWidth="1"/>
    <col min="17" max="17" width="11.140625" style="20" bestFit="1" customWidth="1"/>
    <col min="18" max="18" width="9" style="20" customWidth="1"/>
    <col min="19" max="16384" width="12.5703125" style="20" hidden="1"/>
  </cols>
  <sheetData>
    <row r="1" spans="1:18" ht="15.75" customHeight="1" x14ac:dyDescent="0.3">
      <c r="A1" s="1"/>
      <c r="B1" s="1"/>
      <c r="C1" s="1"/>
      <c r="D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75" x14ac:dyDescent="0.4">
      <c r="A2" s="1"/>
      <c r="B2" s="48" t="s">
        <v>29</v>
      </c>
      <c r="C2" s="48"/>
      <c r="D2" s="48"/>
      <c r="E2" s="48"/>
      <c r="F2" s="48"/>
      <c r="G2" s="48"/>
      <c r="H2" s="48"/>
      <c r="I2" s="34"/>
      <c r="J2" s="34"/>
      <c r="K2" s="34"/>
      <c r="L2" s="34"/>
      <c r="M2" s="1"/>
      <c r="N2" s="1"/>
      <c r="O2" s="1"/>
      <c r="P2" s="1"/>
      <c r="R2" s="1"/>
    </row>
    <row r="3" spans="1:18" ht="15.75" customHeight="1" x14ac:dyDescent="0.3">
      <c r="A3" s="1"/>
      <c r="B3" s="1"/>
      <c r="C3" s="1"/>
      <c r="D3" s="39"/>
      <c r="E3" s="3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1"/>
    </row>
    <row r="4" spans="1:18" ht="15" x14ac:dyDescent="0.3">
      <c r="A4" s="1"/>
      <c r="B4" s="21"/>
      <c r="C4" s="37" t="s">
        <v>0</v>
      </c>
      <c r="D4" s="38"/>
      <c r="E4" s="3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R4" s="1"/>
    </row>
    <row r="5" spans="1:18" ht="15.75" customHeight="1" x14ac:dyDescent="0.3">
      <c r="A5" s="1"/>
      <c r="B5" s="1"/>
      <c r="C5" s="2"/>
      <c r="D5" s="1"/>
      <c r="E5" s="3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R5" s="1"/>
    </row>
    <row r="6" spans="1:18" ht="22.5" customHeight="1" x14ac:dyDescent="0.4">
      <c r="A6" s="1"/>
      <c r="B6" s="54" t="s">
        <v>26</v>
      </c>
      <c r="C6" s="54"/>
      <c r="D6" s="54"/>
      <c r="E6" s="3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R6" s="1"/>
    </row>
    <row r="7" spans="1:18" ht="15.75" customHeight="1" x14ac:dyDescent="0.3">
      <c r="A7" s="1"/>
      <c r="B7" s="22" t="s">
        <v>1</v>
      </c>
      <c r="C7" s="23">
        <v>0.05</v>
      </c>
      <c r="D7" s="3" t="s">
        <v>2</v>
      </c>
      <c r="E7" s="3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R7" s="1"/>
    </row>
    <row r="8" spans="1:18" ht="15.75" customHeight="1" x14ac:dyDescent="0.3">
      <c r="A8" s="1"/>
      <c r="B8" s="24" t="s">
        <v>3</v>
      </c>
      <c r="C8" s="25">
        <v>3.5000000000000003E-2</v>
      </c>
      <c r="D8" s="3" t="s">
        <v>2</v>
      </c>
      <c r="E8" s="3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R8" s="1"/>
    </row>
    <row r="9" spans="1:18" ht="15.75" customHeight="1" x14ac:dyDescent="0.3">
      <c r="A9" s="1"/>
      <c r="B9" s="26" t="s">
        <v>32</v>
      </c>
      <c r="C9" s="33">
        <v>0.1</v>
      </c>
      <c r="D9" s="12"/>
      <c r="E9" s="1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R9" s="1"/>
    </row>
    <row r="10" spans="1:18" ht="15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R10" s="1"/>
    </row>
    <row r="11" spans="1:18" ht="21.75" x14ac:dyDescent="0.4">
      <c r="A11" s="1"/>
      <c r="B11" s="55" t="s">
        <v>27</v>
      </c>
      <c r="C11" s="55"/>
      <c r="D11" s="5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R11" s="1"/>
    </row>
    <row r="12" spans="1:18" ht="45" customHeight="1" x14ac:dyDescent="0.3">
      <c r="A12" s="4"/>
      <c r="B12" s="5" t="s">
        <v>4</v>
      </c>
      <c r="C12" s="6" t="s">
        <v>5</v>
      </c>
      <c r="D12" s="7" t="s">
        <v>6</v>
      </c>
      <c r="E12" s="57" t="s">
        <v>7</v>
      </c>
      <c r="F12" s="27" t="s">
        <v>8</v>
      </c>
      <c r="G12" s="28" t="s">
        <v>9</v>
      </c>
      <c r="H12" s="58" t="s">
        <v>10</v>
      </c>
      <c r="I12" s="5" t="s">
        <v>11</v>
      </c>
      <c r="J12" s="7" t="s">
        <v>12</v>
      </c>
      <c r="K12" s="60" t="str">
        <f>"Wenn ab jetzt "&amp;TEXT(C9,"0%")&amp;" vom Nettogehalt investiert werden, ergibt das dieses Vermögen ▶"</f>
        <v>Wenn ab jetzt 10% vom Nettogehalt investiert werden, ergibt das dieses Vermögen ▶</v>
      </c>
      <c r="L12" s="27" t="s">
        <v>13</v>
      </c>
      <c r="M12" s="28" t="s">
        <v>14</v>
      </c>
      <c r="N12" s="62" t="s">
        <v>15</v>
      </c>
      <c r="O12" s="27" t="s">
        <v>16</v>
      </c>
      <c r="P12" s="28" t="s">
        <v>17</v>
      </c>
      <c r="R12" s="4"/>
    </row>
    <row r="13" spans="1:18" ht="15" x14ac:dyDescent="0.3">
      <c r="A13" s="12"/>
      <c r="B13" s="13">
        <v>25</v>
      </c>
      <c r="C13" s="8">
        <v>37428</v>
      </c>
      <c r="D13" s="10">
        <v>2110.8333333333335</v>
      </c>
      <c r="E13" s="57"/>
      <c r="F13" s="31">
        <f>C13/43142*(67-25)*36.02</f>
        <v>1312.4698790042187</v>
      </c>
      <c r="G13" s="32">
        <f>1042+122.06+15.75</f>
        <v>1179.81</v>
      </c>
      <c r="H13" s="58"/>
      <c r="I13" s="9">
        <f t="shared" ref="I13:I20" si="0">D13-G13</f>
        <v>931.02333333333354</v>
      </c>
      <c r="J13" s="10">
        <f t="shared" ref="J13:J20" si="1">I13*12/$C$8</f>
        <v>319208.00000000006</v>
      </c>
      <c r="K13" s="60"/>
      <c r="L13" s="31">
        <f t="shared" ref="L13:L20" si="2">D13*12*$C$9*((1+$C$7)^(67-B13)-1)/((1+$C$7)-1)</f>
        <v>342542.02554224851</v>
      </c>
      <c r="M13" s="32">
        <f t="shared" ref="M13:M20" si="3">L13*$C$8/12</f>
        <v>999.08090783155831</v>
      </c>
      <c r="N13" s="62"/>
      <c r="O13" s="31">
        <f t="shared" ref="O13:O20" si="4">J13/(1+$C$7)^(67-B13)-D13*12*$C$9/(1+$C$7)^(67-B13)*((1+$C$7)^(67-B13)-1)/((1+$C$7)-1)</f>
        <v>-3006.3470103952786</v>
      </c>
      <c r="P13" s="35">
        <f t="shared" ref="P13:P20" si="5">J13*((1+$C$7)-1)/((1+$C$7)^(67-B13)-1)/(D13*12)</f>
        <v>9.3187981677486043E-2</v>
      </c>
      <c r="R13" s="11"/>
    </row>
    <row r="14" spans="1:18" ht="15" x14ac:dyDescent="0.3">
      <c r="A14" s="12"/>
      <c r="B14" s="13">
        <f t="shared" ref="B14:B20" si="6">B13+5</f>
        <v>30</v>
      </c>
      <c r="C14" s="8">
        <v>45213</v>
      </c>
      <c r="D14" s="10">
        <v>2467.5833333333335</v>
      </c>
      <c r="E14" s="57"/>
      <c r="F14" s="31">
        <f t="shared" ref="F14:F20" si="7">C14/43142*(67-25)*36.02</f>
        <v>1585.4627722405082</v>
      </c>
      <c r="G14" s="32">
        <f>1217+147.45+19.03</f>
        <v>1383.48</v>
      </c>
      <c r="H14" s="58"/>
      <c r="I14" s="9">
        <f t="shared" si="0"/>
        <v>1084.1033333333335</v>
      </c>
      <c r="J14" s="10">
        <f t="shared" si="1"/>
        <v>371692.57142857142</v>
      </c>
      <c r="K14" s="60"/>
      <c r="L14" s="31">
        <f t="shared" si="2"/>
        <v>300931.08196475176</v>
      </c>
      <c r="M14" s="32">
        <f t="shared" si="3"/>
        <v>877.71565573052612</v>
      </c>
      <c r="N14" s="62"/>
      <c r="O14" s="31">
        <f t="shared" si="4"/>
        <v>11635.710310085495</v>
      </c>
      <c r="P14" s="35">
        <f t="shared" si="5"/>
        <v>0.12351418437797265</v>
      </c>
      <c r="R14" s="11"/>
    </row>
    <row r="15" spans="1:18" ht="15" x14ac:dyDescent="0.3">
      <c r="A15" s="12"/>
      <c r="B15" s="13">
        <f t="shared" si="6"/>
        <v>35</v>
      </c>
      <c r="C15" s="8">
        <v>51819</v>
      </c>
      <c r="D15" s="10">
        <v>2760.1666666666665</v>
      </c>
      <c r="E15" s="57"/>
      <c r="F15" s="31">
        <f t="shared" si="7"/>
        <v>1817.112233090724</v>
      </c>
      <c r="G15" s="32">
        <f>1356+168.99+21.81</f>
        <v>1546.8</v>
      </c>
      <c r="H15" s="58"/>
      <c r="I15" s="9">
        <f t="shared" si="0"/>
        <v>1213.3666666666666</v>
      </c>
      <c r="J15" s="10">
        <f t="shared" si="1"/>
        <v>416011.42857142846</v>
      </c>
      <c r="K15" s="60"/>
      <c r="L15" s="31">
        <f t="shared" si="2"/>
        <v>249404.78264617716</v>
      </c>
      <c r="M15" s="32">
        <f t="shared" si="3"/>
        <v>727.43061605135017</v>
      </c>
      <c r="N15" s="62"/>
      <c r="O15" s="31">
        <f t="shared" si="4"/>
        <v>34965.098107296653</v>
      </c>
      <c r="P15" s="35">
        <f t="shared" si="5"/>
        <v>0.16680170450524642</v>
      </c>
      <c r="R15" s="11"/>
    </row>
    <row r="16" spans="1:18" ht="15" x14ac:dyDescent="0.3">
      <c r="A16" s="12"/>
      <c r="B16" s="13">
        <f t="shared" si="6"/>
        <v>40</v>
      </c>
      <c r="C16" s="8">
        <v>55627</v>
      </c>
      <c r="D16" s="10">
        <v>2924.5833333333335</v>
      </c>
      <c r="E16" s="57"/>
      <c r="F16" s="31">
        <f t="shared" si="7"/>
        <v>1950.6455583885777</v>
      </c>
      <c r="G16" s="32">
        <f>1436+181.41+23.41</f>
        <v>1640.8200000000002</v>
      </c>
      <c r="H16" s="58"/>
      <c r="I16" s="9">
        <f t="shared" si="0"/>
        <v>1283.7633333333333</v>
      </c>
      <c r="J16" s="10">
        <f t="shared" si="1"/>
        <v>440147.42857142852</v>
      </c>
      <c r="K16" s="60"/>
      <c r="L16" s="31">
        <f t="shared" si="2"/>
        <v>191861.29926515487</v>
      </c>
      <c r="M16" s="32">
        <f t="shared" si="3"/>
        <v>559.59545619003507</v>
      </c>
      <c r="N16" s="62"/>
      <c r="O16" s="31">
        <f t="shared" si="4"/>
        <v>66503.022365761048</v>
      </c>
      <c r="P16" s="35">
        <f t="shared" si="5"/>
        <v>0.22940917749292364</v>
      </c>
      <c r="R16" s="11"/>
    </row>
    <row r="17" spans="1:18" ht="15" x14ac:dyDescent="0.3">
      <c r="A17" s="12"/>
      <c r="B17" s="13">
        <f t="shared" si="6"/>
        <v>45</v>
      </c>
      <c r="C17" s="8">
        <v>57456</v>
      </c>
      <c r="D17" s="10">
        <v>3012.3333333333335</v>
      </c>
      <c r="E17" s="57"/>
      <c r="F17" s="31">
        <f t="shared" si="7"/>
        <v>2014.7822316999677</v>
      </c>
      <c r="G17" s="32">
        <f>1474+187.37+24.18</f>
        <v>1685.55</v>
      </c>
      <c r="H17" s="58"/>
      <c r="I17" s="9">
        <f t="shared" si="0"/>
        <v>1326.7833333333335</v>
      </c>
      <c r="J17" s="10">
        <f t="shared" si="1"/>
        <v>454897.14285714284</v>
      </c>
      <c r="K17" s="60"/>
      <c r="L17" s="31">
        <f t="shared" si="2"/>
        <v>139188.64900746083</v>
      </c>
      <c r="M17" s="32">
        <f t="shared" si="3"/>
        <v>405.96689293842746</v>
      </c>
      <c r="N17" s="62"/>
      <c r="O17" s="31">
        <f t="shared" si="4"/>
        <v>107924.90792346535</v>
      </c>
      <c r="P17" s="35">
        <f t="shared" si="5"/>
        <v>0.32682057488233784</v>
      </c>
      <c r="R17" s="11"/>
    </row>
    <row r="18" spans="1:18" ht="15" x14ac:dyDescent="0.3">
      <c r="A18" s="12"/>
      <c r="B18" s="13">
        <f t="shared" si="6"/>
        <v>50</v>
      </c>
      <c r="C18" s="8">
        <v>58213</v>
      </c>
      <c r="D18" s="10">
        <v>3050.6666666666665</v>
      </c>
      <c r="E18" s="57"/>
      <c r="F18" s="31">
        <f t="shared" si="7"/>
        <v>2041.3275907468362</v>
      </c>
      <c r="G18" s="32">
        <f>1490+189.84+24.5</f>
        <v>1704.34</v>
      </c>
      <c r="H18" s="58"/>
      <c r="I18" s="9">
        <f t="shared" si="0"/>
        <v>1346.3266666666666</v>
      </c>
      <c r="J18" s="10">
        <f t="shared" si="1"/>
        <v>461597.7142857142</v>
      </c>
      <c r="K18" s="60"/>
      <c r="L18" s="31">
        <f t="shared" si="2"/>
        <v>94596.413156120369</v>
      </c>
      <c r="M18" s="32">
        <f t="shared" si="3"/>
        <v>275.90620503868445</v>
      </c>
      <c r="N18" s="62"/>
      <c r="O18" s="31">
        <f t="shared" si="4"/>
        <v>160121.45203171656</v>
      </c>
      <c r="P18" s="35">
        <f t="shared" si="5"/>
        <v>0.48796534549772086</v>
      </c>
      <c r="R18" s="11"/>
    </row>
    <row r="19" spans="1:18" ht="15" x14ac:dyDescent="0.3">
      <c r="A19" s="12"/>
      <c r="B19" s="13">
        <f t="shared" si="6"/>
        <v>55</v>
      </c>
      <c r="C19" s="8">
        <v>58121</v>
      </c>
      <c r="D19" s="10">
        <v>3046</v>
      </c>
      <c r="E19" s="57"/>
      <c r="F19" s="31">
        <f t="shared" si="7"/>
        <v>2038.1014704927916</v>
      </c>
      <c r="G19" s="32">
        <f>1488+189.54+24.46</f>
        <v>1702</v>
      </c>
      <c r="H19" s="58"/>
      <c r="I19" s="9">
        <f t="shared" si="0"/>
        <v>1344</v>
      </c>
      <c r="J19" s="10">
        <f t="shared" si="1"/>
        <v>460799.99999999994</v>
      </c>
      <c r="K19" s="60"/>
      <c r="L19" s="31">
        <f t="shared" si="2"/>
        <v>58180.280857521684</v>
      </c>
      <c r="M19" s="32">
        <f t="shared" si="3"/>
        <v>169.69248583443826</v>
      </c>
      <c r="N19" s="62"/>
      <c r="O19" s="31">
        <f t="shared" si="4"/>
        <v>224193.72491467174</v>
      </c>
      <c r="P19" s="35">
        <f t="shared" si="5"/>
        <v>0.79202092737994523</v>
      </c>
      <c r="R19" s="11"/>
    </row>
    <row r="20" spans="1:18" ht="15" x14ac:dyDescent="0.3">
      <c r="A20" s="12"/>
      <c r="B20" s="14">
        <f t="shared" si="6"/>
        <v>60</v>
      </c>
      <c r="C20" s="15">
        <v>58658</v>
      </c>
      <c r="D20" s="17">
        <v>3073.0833333333335</v>
      </c>
      <c r="E20" s="57"/>
      <c r="F20" s="29">
        <f t="shared" si="7"/>
        <v>2056.9321941495527</v>
      </c>
      <c r="G20" s="30">
        <f>1499+191.29+24.68</f>
        <v>1714.97</v>
      </c>
      <c r="H20" s="59"/>
      <c r="I20" s="16">
        <f t="shared" si="0"/>
        <v>1358.1133333333335</v>
      </c>
      <c r="J20" s="17">
        <f t="shared" si="1"/>
        <v>465638.8571428571</v>
      </c>
      <c r="K20" s="61"/>
      <c r="L20" s="29">
        <f t="shared" si="2"/>
        <v>30025.284572589055</v>
      </c>
      <c r="M20" s="30">
        <f t="shared" si="3"/>
        <v>87.57374667005142</v>
      </c>
      <c r="N20" s="62"/>
      <c r="O20" s="29">
        <f t="shared" si="4"/>
        <v>309582.43317697226</v>
      </c>
      <c r="P20" s="36">
        <f t="shared" si="5"/>
        <v>1.5508224610398937</v>
      </c>
      <c r="R20" s="11"/>
    </row>
    <row r="21" spans="1:18" ht="25.5" x14ac:dyDescent="0.3">
      <c r="A21" s="12"/>
      <c r="B21" s="12"/>
      <c r="C21" s="12"/>
      <c r="D21" s="12"/>
      <c r="E21" s="12"/>
      <c r="F21" s="12"/>
      <c r="G21" s="12"/>
      <c r="H21" s="12"/>
      <c r="I21" s="12"/>
      <c r="J21" s="19" t="str">
        <f>"(bei einer Entnahmerate 
von "&amp;TEXT($C$8,"#,0%")&amp;")"</f>
        <v>(bei einer Entnahmerate 
von 3,5%)</v>
      </c>
      <c r="K21" s="12"/>
      <c r="L21" s="12"/>
      <c r="M21" s="19" t="str">
        <f>"(bei einer Entnahmerate 
von "&amp;TEXT($C$8,"#,0%")&amp;")"</f>
        <v>(bei einer Entnahmerate 
von 3,5%)</v>
      </c>
      <c r="O21" s="12"/>
      <c r="P21" s="12"/>
      <c r="Q21" s="12"/>
      <c r="R21" s="12"/>
    </row>
    <row r="22" spans="1:18" ht="21.75" x14ac:dyDescent="0.4">
      <c r="A22" s="12"/>
      <c r="B22" s="56" t="s">
        <v>28</v>
      </c>
      <c r="C22" s="56"/>
      <c r="D22" s="56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45" x14ac:dyDescent="0.3">
      <c r="A23" s="12"/>
      <c r="B23" s="27" t="s">
        <v>4</v>
      </c>
      <c r="C23" s="40" t="s">
        <v>30</v>
      </c>
      <c r="D23" s="40" t="s">
        <v>18</v>
      </c>
      <c r="E23" s="28" t="s">
        <v>19</v>
      </c>
      <c r="F23" s="49" t="s">
        <v>20</v>
      </c>
      <c r="G23" s="27" t="s">
        <v>8</v>
      </c>
      <c r="H23" s="28" t="s">
        <v>21</v>
      </c>
      <c r="I23" s="53" t="s">
        <v>22</v>
      </c>
      <c r="J23" s="5" t="s">
        <v>11</v>
      </c>
      <c r="K23" s="7" t="s">
        <v>12</v>
      </c>
      <c r="L23" s="51" t="str">
        <f>"Wenn "&amp;TEXT(C9,"0%")&amp;" vom Nettogehalt investiert werden, ergibt das dieses Vermögen ▶"</f>
        <v>Wenn 10% vom Nettogehalt investiert werden, ergibt das dieses Vermögen ▶</v>
      </c>
      <c r="M23" s="5" t="s">
        <v>13</v>
      </c>
      <c r="N23" s="7" t="s">
        <v>23</v>
      </c>
      <c r="O23" s="51" t="s">
        <v>24</v>
      </c>
      <c r="P23" s="5" t="s">
        <v>16</v>
      </c>
      <c r="Q23" s="7" t="s">
        <v>17</v>
      </c>
      <c r="R23" s="12"/>
    </row>
    <row r="24" spans="1:18" ht="15" x14ac:dyDescent="0.3">
      <c r="A24" s="12"/>
      <c r="B24" s="41">
        <v>25</v>
      </c>
      <c r="C24" s="42">
        <v>25</v>
      </c>
      <c r="D24" s="43">
        <v>37428</v>
      </c>
      <c r="E24" s="44">
        <v>25329.999999999956</v>
      </c>
      <c r="F24" s="50"/>
      <c r="G24" s="29">
        <f>D24/43142*(67-$C$24)*36.02</f>
        <v>1312.4698790042187</v>
      </c>
      <c r="H24" s="44">
        <f>G24*85%</f>
        <v>1115.5993971535859</v>
      </c>
      <c r="I24" s="52"/>
      <c r="J24" s="16">
        <f>E24/12-H24</f>
        <v>995.23393617974398</v>
      </c>
      <c r="K24" s="17">
        <f>J24*12/$C$8</f>
        <v>341223.06383305503</v>
      </c>
      <c r="L24" s="52"/>
      <c r="M24" s="16">
        <f>0*(1+C7)^(67-B24)+E24*$C$9*((1+$C$7)^(67-B24)-1)/((1+$C$7)-1)</f>
        <v>342542.02554224792</v>
      </c>
      <c r="N24" s="17">
        <f>M24*$C$8/12</f>
        <v>999.08090783155649</v>
      </c>
      <c r="O24" s="50"/>
      <c r="P24" s="16">
        <f>K24/(1+$C$7)^(67-B24)-E24*$C$9/(1+$C$7)^(67-B24)*((1+$C$7)^(67-B24)-1)/((1+$C$7)-1)</f>
        <v>-169.93452690271079</v>
      </c>
      <c r="Q24" s="18">
        <f>K24*((1+$C$7)-1)/((1+$C$7)^(67-B24)-1)/E24</f>
        <v>9.9614948937402664E-2</v>
      </c>
      <c r="R24" s="12"/>
    </row>
    <row r="25" spans="1:18" ht="27.75" x14ac:dyDescent="0.3">
      <c r="A25" s="12"/>
      <c r="B25" s="12"/>
      <c r="C25" s="45" t="s">
        <v>31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29.75" customHeight="1" x14ac:dyDescent="0.3">
      <c r="A26" s="12"/>
      <c r="B26" s="12"/>
      <c r="C26" s="12"/>
      <c r="D26" s="12"/>
      <c r="E26" s="12"/>
      <c r="F26" s="12"/>
      <c r="G26" s="46" t="s">
        <v>25</v>
      </c>
      <c r="H26" s="47"/>
      <c r="I26" s="47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5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5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5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5" x14ac:dyDescent="0.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5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5.75" customHeight="1" x14ac:dyDescent="0.2"/>
  </sheetData>
  <sheetProtection sheet="1" sort="0" autoFilter="0" pivotTables="0"/>
  <protectedRanges>
    <protectedRange sqref="H24" name="Bereich3"/>
    <protectedRange sqref="B24 D24:E24" name="Bereich1"/>
    <protectedRange sqref="C24 C7:C9" name="Bereich2"/>
  </protectedRanges>
  <mergeCells count="13">
    <mergeCell ref="G26:I26"/>
    <mergeCell ref="B2:H2"/>
    <mergeCell ref="F23:F24"/>
    <mergeCell ref="O23:O24"/>
    <mergeCell ref="L23:L24"/>
    <mergeCell ref="I23:I24"/>
    <mergeCell ref="B6:D6"/>
    <mergeCell ref="B11:D11"/>
    <mergeCell ref="B22:D22"/>
    <mergeCell ref="E12:E20"/>
    <mergeCell ref="H12:H20"/>
    <mergeCell ref="K12:K20"/>
    <mergeCell ref="N12:N20"/>
  </mergeCells>
  <dataValidations disablePrompts="1" count="1">
    <dataValidation type="decimal" allowBlank="1" showDropDown="1" showErrorMessage="1" sqref="C7:C8" xr:uid="{00000000-0002-0000-0000-000000000000}">
      <formula1>0</formula1>
      <formula2>1</formula2>
    </dataValidation>
  </dataValidations>
  <hyperlinks>
    <hyperlink ref="G26" r:id="rId1" xr:uid="{00000000-0004-0000-0000-000000000000}"/>
  </hyperlinks>
  <pageMargins left="0.7" right="0.7" top="0.78740157499999996" bottom="0.78740157499999996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Rentenlücke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Markus Schmidt-Ott</cp:lastModifiedBy>
  <dcterms:modified xsi:type="dcterms:W3CDTF">2023-03-30T11:01:38Z</dcterms:modified>
</cp:coreProperties>
</file>